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90" windowWidth="18975" windowHeight="9420" activeTab="1"/>
  </bookViews>
  <sheets>
    <sheet name="First Year" sheetId="1" r:id="rId1"/>
    <sheet name="Yearly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C11" i="4"/>
  <c r="O1"/>
  <c r="J7" i="1"/>
  <c r="G12" i="4"/>
  <c r="F12"/>
  <c r="H12" s="1"/>
  <c r="G11"/>
  <c r="F11"/>
  <c r="H10"/>
  <c r="H9"/>
  <c r="G8"/>
  <c r="F8"/>
  <c r="C7"/>
  <c r="H7" s="1"/>
  <c r="H6"/>
  <c r="D6"/>
  <c r="G4"/>
  <c r="F4"/>
  <c r="H4" s="1"/>
  <c r="F15" i="1"/>
  <c r="H15" s="1"/>
  <c r="F14"/>
  <c r="H14" s="1"/>
  <c r="L14" s="1"/>
  <c r="M14" s="1"/>
  <c r="F10"/>
  <c r="H10" s="1"/>
  <c r="F6"/>
  <c r="F5"/>
  <c r="H5" s="1"/>
  <c r="F4"/>
  <c r="H4" s="1"/>
  <c r="F3"/>
  <c r="H3" s="1"/>
  <c r="L3" s="1"/>
  <c r="H13"/>
  <c r="L13" s="1"/>
  <c r="H12"/>
  <c r="N12" s="1"/>
  <c r="O12" s="1"/>
  <c r="H11"/>
  <c r="N11" s="1"/>
  <c r="O11" s="1"/>
  <c r="H9"/>
  <c r="H8"/>
  <c r="L8" s="1"/>
  <c r="H7"/>
  <c r="N7" s="1"/>
  <c r="O7" s="1"/>
  <c r="H6"/>
  <c r="J6" s="1"/>
  <c r="C14"/>
  <c r="C10"/>
  <c r="C9"/>
  <c r="C5"/>
  <c r="C4"/>
  <c r="C3"/>
  <c r="G3"/>
  <c r="L7"/>
  <c r="M7" s="1"/>
  <c r="K7"/>
  <c r="N13"/>
  <c r="O13" s="1"/>
  <c r="N9"/>
  <c r="N8"/>
  <c r="L11"/>
  <c r="M11" s="1"/>
  <c r="L9"/>
  <c r="J11"/>
  <c r="K11" s="1"/>
  <c r="J9"/>
  <c r="J8"/>
  <c r="G15"/>
  <c r="G14"/>
  <c r="D8"/>
  <c r="G10"/>
  <c r="G6"/>
  <c r="G5"/>
  <c r="G4"/>
  <c r="L10" i="4" l="1"/>
  <c r="M10" s="1"/>
  <c r="J4"/>
  <c r="K4" s="1"/>
  <c r="J10"/>
  <c r="K10" s="1"/>
  <c r="N10"/>
  <c r="O10" s="1"/>
  <c r="N6"/>
  <c r="O6" s="1"/>
  <c r="N9"/>
  <c r="O9" s="1"/>
  <c r="J15" i="1"/>
  <c r="K15" s="1"/>
  <c r="H8" i="4"/>
  <c r="N8" s="1"/>
  <c r="O8" s="1"/>
  <c r="H11"/>
  <c r="J12" i="1"/>
  <c r="K12" s="1"/>
  <c r="N4" i="4"/>
  <c r="O4" s="1"/>
  <c r="L6" i="1"/>
  <c r="N7" i="4"/>
  <c r="O7" s="1"/>
  <c r="L7"/>
  <c r="M7" s="1"/>
  <c r="J7"/>
  <c r="K7" s="1"/>
  <c r="N12"/>
  <c r="O12" s="1"/>
  <c r="L4"/>
  <c r="M4" s="1"/>
  <c r="J6"/>
  <c r="K6" s="1"/>
  <c r="L6"/>
  <c r="M6" s="1"/>
  <c r="J9"/>
  <c r="K9" s="1"/>
  <c r="L9"/>
  <c r="M9" s="1"/>
  <c r="J12"/>
  <c r="K12" s="1"/>
  <c r="L12"/>
  <c r="M12" s="1"/>
  <c r="J13" i="1"/>
  <c r="K13" s="1"/>
  <c r="L12"/>
  <c r="M12" s="1"/>
  <c r="L5"/>
  <c r="M5" s="1"/>
  <c r="N4"/>
  <c r="O4" s="1"/>
  <c r="M8"/>
  <c r="L10"/>
  <c r="J14"/>
  <c r="K14" s="1"/>
  <c r="O9"/>
  <c r="J3"/>
  <c r="K3" s="1"/>
  <c r="J5"/>
  <c r="K5" s="1"/>
  <c r="J10"/>
  <c r="K10" s="1"/>
  <c r="L4"/>
  <c r="M4" s="1"/>
  <c r="L15"/>
  <c r="M15" s="1"/>
  <c r="N5"/>
  <c r="O5" s="1"/>
  <c r="N10"/>
  <c r="O10" s="1"/>
  <c r="N15"/>
  <c r="O15" s="1"/>
  <c r="N3"/>
  <c r="O3" s="1"/>
  <c r="J4"/>
  <c r="K4" s="1"/>
  <c r="N6"/>
  <c r="O6" s="1"/>
  <c r="K9"/>
  <c r="M3"/>
  <c r="O8"/>
  <c r="M9"/>
  <c r="M10"/>
  <c r="K8"/>
  <c r="M6"/>
  <c r="K6"/>
  <c r="M13"/>
  <c r="O11" i="4" l="1"/>
  <c r="N11"/>
  <c r="L11"/>
  <c r="M11" s="1"/>
  <c r="J11"/>
  <c r="K11" s="1"/>
  <c r="J8"/>
  <c r="K8" s="1"/>
  <c r="L8"/>
  <c r="M8" s="1"/>
</calcChain>
</file>

<file path=xl/sharedStrings.xml><?xml version="1.0" encoding="utf-8"?>
<sst xmlns="http://schemas.openxmlformats.org/spreadsheetml/2006/main" count="72" uniqueCount="43">
  <si>
    <t>Secure Trading</t>
  </si>
  <si>
    <t>Protx</t>
  </si>
  <si>
    <t>PSP</t>
  </si>
  <si>
    <t>Setup</t>
  </si>
  <si>
    <t>Per Transaction</t>
  </si>
  <si>
    <t>Secure Hosting Basic</t>
  </si>
  <si>
    <t>Notes</t>
  </si>
  <si>
    <t>Maximum 4000 transactions per year</t>
  </si>
  <si>
    <t>Per Month</t>
  </si>
  <si>
    <t>Monthly</t>
  </si>
  <si>
    <t>% per Transaction</t>
  </si>
  <si>
    <t>No need for internet merchant account</t>
  </si>
  <si>
    <t>Secure Hosting Standard</t>
  </si>
  <si>
    <t>Secure Hosting Premium</t>
  </si>
  <si>
    <t>Bank</t>
  </si>
  <si>
    <t>Bank Rate (1.6% - 2.8%)</t>
  </si>
  <si>
    <t>250-22p,500-19.8p,</t>
  </si>
  <si>
    <t>1000-14.9</t>
  </si>
  <si>
    <t>Fees vary 100-25p,</t>
  </si>
  <si>
    <t>Actinic Payments -350 pm</t>
  </si>
  <si>
    <t>Actinic Payments -800 pa</t>
  </si>
  <si>
    <t>Limit of 66 transactions per month</t>
  </si>
  <si>
    <t>Limit of 350 transactions per month</t>
  </si>
  <si>
    <t>WorldPay (no bank)</t>
  </si>
  <si>
    <t>WorldPay-Offer (no bank)</t>
  </si>
  <si>
    <t>PayPal Pro (no bank)</t>
  </si>
  <si>
    <t>PayPal (no bank)</t>
  </si>
  <si>
    <t>NoChex (no bank)</t>
  </si>
  <si>
    <t>Secure Trading (no Bank)</t>
  </si>
  <si>
    <t>% Per Transaction</t>
  </si>
  <si>
    <t>Payment Service Provider</t>
  </si>
  <si>
    <t>Monthly Charge</t>
  </si>
  <si>
    <t>Bank Charge per month</t>
  </si>
  <si>
    <t>Total Monthly Charge</t>
  </si>
  <si>
    <t>No multicurrency</t>
  </si>
  <si>
    <t>Not multi currrency</t>
  </si>
  <si>
    <t>Average Transaction Value</t>
  </si>
  <si>
    <t>Limit of 66 transactions per month. 35p only applies above 66</t>
  </si>
  <si>
    <t>Cost</t>
  </si>
  <si>
    <t>Retained</t>
  </si>
  <si>
    <t xml:space="preserve">Sellerdeck Payments -A800 </t>
  </si>
  <si>
    <t>Sellerdeck Payments -350 pm</t>
  </si>
  <si>
    <t>Sagepay (Protx)</t>
  </si>
</sst>
</file>

<file path=xl/styles.xml><?xml version="1.0" encoding="utf-8"?>
<styleSheet xmlns="http://schemas.openxmlformats.org/spreadsheetml/2006/main">
  <numFmts count="1">
    <numFmt numFmtId="164" formatCode="&quot;£&quot;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164" fontId="0" fillId="0" borderId="0" xfId="0" applyNumberFormat="1"/>
    <xf numFmtId="164" fontId="0" fillId="0" borderId="0" xfId="0" applyNumberFormat="1" applyBorder="1"/>
    <xf numFmtId="10" fontId="0" fillId="0" borderId="0" xfId="0" applyNumberFormat="1" applyBorder="1"/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164" fontId="0" fillId="0" borderId="12" xfId="0" applyNumberFormat="1" applyBorder="1"/>
    <xf numFmtId="0" fontId="0" fillId="0" borderId="12" xfId="0" applyBorder="1"/>
    <xf numFmtId="0" fontId="1" fillId="5" borderId="10" xfId="0" applyFont="1" applyFill="1" applyBorder="1" applyAlignment="1">
      <alignment horizontal="center" vertical="center"/>
    </xf>
    <xf numFmtId="164" fontId="0" fillId="0" borderId="2" xfId="0" applyNumberFormat="1" applyBorder="1"/>
    <xf numFmtId="164" fontId="0" fillId="0" borderId="8" xfId="0" applyNumberFormat="1" applyBorder="1"/>
    <xf numFmtId="0" fontId="1" fillId="0" borderId="0" xfId="0" applyFont="1" applyFill="1" applyBorder="1" applyAlignment="1">
      <alignment horizontal="center" vertical="center"/>
    </xf>
    <xf numFmtId="164" fontId="0" fillId="0" borderId="17" xfId="0" applyNumberFormat="1" applyBorder="1"/>
    <xf numFmtId="164" fontId="0" fillId="5" borderId="4" xfId="0" applyNumberForma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164" fontId="0" fillId="0" borderId="15" xfId="0" applyNumberFormat="1" applyBorder="1"/>
    <xf numFmtId="164" fontId="0" fillId="0" borderId="3" xfId="0" applyNumberFormat="1" applyBorder="1"/>
    <xf numFmtId="164" fontId="0" fillId="2" borderId="19" xfId="0" applyNumberFormat="1" applyFill="1" applyBorder="1"/>
    <xf numFmtId="164" fontId="0" fillId="3" borderId="19" xfId="0" applyNumberFormat="1" applyFill="1" applyBorder="1"/>
    <xf numFmtId="164" fontId="0" fillId="3" borderId="0" xfId="0" applyNumberFormat="1" applyFill="1" applyBorder="1"/>
    <xf numFmtId="164" fontId="0" fillId="3" borderId="9" xfId="0" applyNumberFormat="1" applyFill="1" applyBorder="1"/>
    <xf numFmtId="164" fontId="0" fillId="0" borderId="9" xfId="0" applyNumberFormat="1" applyFill="1" applyBorder="1"/>
    <xf numFmtId="0" fontId="1" fillId="5" borderId="25" xfId="0" applyFont="1" applyFill="1" applyBorder="1"/>
    <xf numFmtId="10" fontId="0" fillId="5" borderId="1" xfId="0" applyNumberFormat="1" applyFill="1" applyBorder="1"/>
    <xf numFmtId="164" fontId="0" fillId="2" borderId="0" xfId="0" applyNumberFormat="1" applyFill="1" applyBorder="1"/>
    <xf numFmtId="164" fontId="0" fillId="2" borderId="9" xfId="0" applyNumberFormat="1" applyFill="1" applyBorder="1"/>
    <xf numFmtId="164" fontId="0" fillId="0" borderId="0" xfId="0" applyNumberFormat="1" applyFill="1" applyBorder="1"/>
    <xf numFmtId="164" fontId="0" fillId="0" borderId="15" xfId="0" applyNumberFormat="1" applyFill="1" applyBorder="1"/>
    <xf numFmtId="0" fontId="0" fillId="0" borderId="12" xfId="0" applyFill="1" applyBorder="1"/>
    <xf numFmtId="164" fontId="0" fillId="0" borderId="12" xfId="0" applyNumberFormat="1" applyFill="1" applyBorder="1"/>
    <xf numFmtId="10" fontId="0" fillId="0" borderId="0" xfId="0" applyNumberFormat="1" applyFill="1" applyBorder="1"/>
    <xf numFmtId="0" fontId="0" fillId="2" borderId="12" xfId="0" applyFill="1" applyBorder="1"/>
    <xf numFmtId="0" fontId="0" fillId="3" borderId="12" xfId="0" applyFill="1" applyBorder="1"/>
    <xf numFmtId="164" fontId="0" fillId="4" borderId="0" xfId="0" applyNumberFormat="1" applyFill="1" applyBorder="1"/>
    <xf numFmtId="0" fontId="0" fillId="6" borderId="12" xfId="0" applyFill="1" applyBorder="1"/>
    <xf numFmtId="164" fontId="0" fillId="0" borderId="19" xfId="0" applyNumberFormat="1" applyFill="1" applyBorder="1"/>
    <xf numFmtId="164" fontId="0" fillId="0" borderId="8" xfId="0" applyNumberFormat="1" applyFill="1" applyBorder="1"/>
    <xf numFmtId="164" fontId="0" fillId="7" borderId="9" xfId="0" applyNumberFormat="1" applyFill="1" applyBorder="1"/>
    <xf numFmtId="164" fontId="0" fillId="7" borderId="0" xfId="0" applyNumberFormat="1" applyFill="1" applyBorder="1"/>
    <xf numFmtId="164" fontId="0" fillId="7" borderId="19" xfId="0" applyNumberFormat="1" applyFill="1" applyBorder="1"/>
    <xf numFmtId="164" fontId="0" fillId="4" borderId="4" xfId="0" applyNumberFormat="1" applyFill="1" applyBorder="1"/>
    <xf numFmtId="0" fontId="0" fillId="7" borderId="12" xfId="0" applyFill="1" applyBorder="1"/>
    <xf numFmtId="0" fontId="0" fillId="0" borderId="1" xfId="0" applyFill="1" applyBorder="1"/>
    <xf numFmtId="0" fontId="0" fillId="0" borderId="0" xfId="0" applyFill="1" applyBorder="1"/>
    <xf numFmtId="164" fontId="0" fillId="0" borderId="14" xfId="0" applyNumberFormat="1" applyFill="1" applyBorder="1"/>
    <xf numFmtId="164" fontId="0" fillId="0" borderId="7" xfId="0" applyNumberFormat="1" applyFill="1" applyBorder="1"/>
    <xf numFmtId="164" fontId="0" fillId="8" borderId="15" xfId="0" applyNumberFormat="1" applyFill="1" applyBorder="1"/>
    <xf numFmtId="164" fontId="0" fillId="8" borderId="9" xfId="0" applyNumberFormat="1" applyFill="1" applyBorder="1"/>
    <xf numFmtId="164" fontId="2" fillId="7" borderId="1" xfId="0" applyNumberFormat="1" applyFont="1" applyFill="1" applyBorder="1"/>
    <xf numFmtId="164" fontId="0" fillId="0" borderId="11" xfId="0" applyNumberFormat="1" applyFill="1" applyBorder="1"/>
    <xf numFmtId="0" fontId="0" fillId="0" borderId="0" xfId="0" applyFill="1" applyBorder="1" applyAlignment="1">
      <alignment horizontal="center" vertical="center"/>
    </xf>
    <xf numFmtId="164" fontId="0" fillId="2" borderId="1" xfId="0" applyNumberFormat="1" applyFill="1" applyBorder="1"/>
    <xf numFmtId="164" fontId="0" fillId="2" borderId="12" xfId="0" applyNumberFormat="1" applyFill="1" applyBorder="1"/>
    <xf numFmtId="0" fontId="0" fillId="3" borderId="1" xfId="0" applyNumberFormat="1" applyFill="1" applyBorder="1"/>
    <xf numFmtId="164" fontId="0" fillId="0" borderId="20" xfId="0" applyNumberFormat="1" applyFill="1" applyBorder="1"/>
    <xf numFmtId="0" fontId="0" fillId="0" borderId="11" xfId="0" applyFill="1" applyBorder="1"/>
    <xf numFmtId="164" fontId="0" fillId="0" borderId="6" xfId="0" applyNumberFormat="1" applyFill="1" applyBorder="1"/>
    <xf numFmtId="10" fontId="0" fillId="0" borderId="6" xfId="0" applyNumberFormat="1" applyFill="1" applyBorder="1"/>
    <xf numFmtId="164" fontId="0" fillId="0" borderId="5" xfId="0" applyNumberFormat="1" applyFill="1" applyBorder="1"/>
    <xf numFmtId="164" fontId="0" fillId="4" borderId="18" xfId="0" applyNumberFormat="1" applyFill="1" applyBorder="1"/>
    <xf numFmtId="0" fontId="1" fillId="5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0" fontId="0" fillId="0" borderId="12" xfId="0" applyNumberFormat="1" applyBorder="1"/>
    <xf numFmtId="10" fontId="0" fillId="0" borderId="12" xfId="0" applyNumberFormat="1" applyFill="1" applyBorder="1"/>
    <xf numFmtId="10" fontId="0" fillId="0" borderId="11" xfId="0" applyNumberFormat="1" applyFill="1" applyBorder="1"/>
    <xf numFmtId="0" fontId="1" fillId="5" borderId="27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/>
    </xf>
    <xf numFmtId="164" fontId="0" fillId="5" borderId="28" xfId="0" applyNumberFormat="1" applyFill="1" applyBorder="1"/>
    <xf numFmtId="0" fontId="1" fillId="5" borderId="1" xfId="0" applyFont="1" applyFill="1" applyBorder="1"/>
    <xf numFmtId="0" fontId="0" fillId="0" borderId="0" xfId="0" applyBorder="1"/>
    <xf numFmtId="164" fontId="0" fillId="6" borderId="1" xfId="0" applyNumberFormat="1" applyFill="1" applyBorder="1"/>
    <xf numFmtId="164" fontId="2" fillId="4" borderId="1" xfId="0" applyNumberFormat="1" applyFont="1" applyFill="1" applyBorder="1"/>
    <xf numFmtId="164" fontId="2" fillId="3" borderId="1" xfId="0" applyNumberFormat="1" applyFont="1" applyFill="1" applyBorder="1"/>
    <xf numFmtId="0" fontId="0" fillId="0" borderId="0" xfId="0" applyFill="1"/>
    <xf numFmtId="164" fontId="0" fillId="0" borderId="3" xfId="0" applyNumberFormat="1" applyFill="1" applyBorder="1"/>
    <xf numFmtId="0" fontId="0" fillId="9" borderId="12" xfId="0" applyFill="1" applyBorder="1"/>
    <xf numFmtId="164" fontId="0" fillId="9" borderId="0" xfId="0" applyNumberFormat="1" applyFill="1"/>
    <xf numFmtId="164" fontId="0" fillId="9" borderId="12" xfId="0" applyNumberFormat="1" applyFill="1" applyBorder="1"/>
    <xf numFmtId="10" fontId="0" fillId="9" borderId="0" xfId="0" applyNumberFormat="1" applyFill="1" applyBorder="1"/>
    <xf numFmtId="10" fontId="0" fillId="9" borderId="12" xfId="0" applyNumberFormat="1" applyFill="1" applyBorder="1"/>
    <xf numFmtId="164" fontId="0" fillId="9" borderId="8" xfId="0" applyNumberFormat="1" applyFill="1" applyBorder="1"/>
    <xf numFmtId="164" fontId="0" fillId="9" borderId="19" xfId="0" applyNumberFormat="1" applyFill="1" applyBorder="1"/>
    <xf numFmtId="164" fontId="0" fillId="9" borderId="0" xfId="0" applyNumberFormat="1" applyFill="1" applyBorder="1"/>
    <xf numFmtId="164" fontId="0" fillId="9" borderId="15" xfId="0" applyNumberFormat="1" applyFill="1" applyBorder="1"/>
    <xf numFmtId="164" fontId="0" fillId="9" borderId="9" xfId="0" applyNumberFormat="1" applyFill="1" applyBorder="1"/>
    <xf numFmtId="164" fontId="0" fillId="0" borderId="0" xfId="0" applyNumberFormat="1" applyFill="1"/>
    <xf numFmtId="164" fontId="0" fillId="0" borderId="1" xfId="0" applyNumberFormat="1" applyFill="1" applyBorder="1"/>
    <xf numFmtId="164" fontId="2" fillId="0" borderId="1" xfId="0" applyNumberFormat="1" applyFont="1" applyFill="1" applyBorder="1"/>
    <xf numFmtId="0" fontId="0" fillId="5" borderId="1" xfId="0" applyFill="1" applyBorder="1"/>
    <xf numFmtId="0" fontId="1" fillId="5" borderId="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3" fillId="0" borderId="0" xfId="0" applyFont="1"/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164" fontId="0" fillId="10" borderId="0" xfId="0" applyNumberFormat="1" applyFill="1" applyBorder="1"/>
    <xf numFmtId="164" fontId="0" fillId="10" borderId="19" xfId="0" applyNumberFormat="1" applyFill="1" applyBorder="1"/>
    <xf numFmtId="164" fontId="0" fillId="10" borderId="9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"/>
  <sheetViews>
    <sheetView workbookViewId="0">
      <pane xSplit="1" topLeftCell="B1" activePane="topRight" state="frozen"/>
      <selection pane="topRight" activeCell="B21" sqref="B21"/>
    </sheetView>
  </sheetViews>
  <sheetFormatPr defaultRowHeight="15"/>
  <cols>
    <col min="1" max="1" width="26.7109375" customWidth="1"/>
    <col min="2" max="8" width="10.7109375" customWidth="1"/>
    <col min="9" max="9" width="40.7109375" customWidth="1"/>
    <col min="15" max="15" width="9" bestFit="1" customWidth="1"/>
    <col min="16" max="16" width="2.5703125" customWidth="1"/>
  </cols>
  <sheetData>
    <row r="1" spans="1:18" ht="15" customHeight="1" thickBot="1">
      <c r="A1" s="98" t="s">
        <v>2</v>
      </c>
      <c r="B1" s="100" t="s">
        <v>3</v>
      </c>
      <c r="C1" s="111" t="s">
        <v>30</v>
      </c>
      <c r="D1" s="112"/>
      <c r="E1" s="113"/>
      <c r="F1" s="109" t="s">
        <v>14</v>
      </c>
      <c r="G1" s="110"/>
      <c r="H1" s="95" t="s">
        <v>31</v>
      </c>
      <c r="I1" s="98" t="s">
        <v>6</v>
      </c>
      <c r="J1" s="107" t="s">
        <v>8</v>
      </c>
      <c r="K1" s="108"/>
      <c r="L1" s="108"/>
      <c r="M1" s="108"/>
      <c r="N1" s="108"/>
      <c r="O1" s="13">
        <v>20</v>
      </c>
      <c r="P1" s="4"/>
      <c r="Q1" s="50"/>
      <c r="R1" s="50"/>
    </row>
    <row r="2" spans="1:18" ht="45.75" thickBot="1">
      <c r="A2" s="99"/>
      <c r="B2" s="101"/>
      <c r="C2" s="61" t="s">
        <v>9</v>
      </c>
      <c r="D2" s="66" t="s">
        <v>10</v>
      </c>
      <c r="E2" s="62" t="s">
        <v>4</v>
      </c>
      <c r="F2" s="62" t="s">
        <v>8</v>
      </c>
      <c r="G2" s="62" t="s">
        <v>29</v>
      </c>
      <c r="H2" s="96"/>
      <c r="I2" s="99"/>
      <c r="J2" s="106">
        <v>30</v>
      </c>
      <c r="K2" s="105"/>
      <c r="L2" s="104">
        <v>66</v>
      </c>
      <c r="M2" s="105"/>
      <c r="N2" s="102">
        <v>1000</v>
      </c>
      <c r="O2" s="103"/>
      <c r="P2" s="5"/>
      <c r="Q2" s="11"/>
      <c r="R2" s="11"/>
    </row>
    <row r="3" spans="1:18" ht="15.75" thickBot="1">
      <c r="A3" s="32" t="s">
        <v>5</v>
      </c>
      <c r="B3" s="1">
        <v>60</v>
      </c>
      <c r="C3" s="6">
        <f>85/12</f>
        <v>7.083333333333333</v>
      </c>
      <c r="D3" s="3">
        <v>0</v>
      </c>
      <c r="E3" s="6">
        <v>0.14899999999999999</v>
      </c>
      <c r="F3" s="6">
        <f>B20</f>
        <v>15</v>
      </c>
      <c r="G3" s="63">
        <f>B19</f>
        <v>1.95E-2</v>
      </c>
      <c r="H3" s="6">
        <f>C3+F3</f>
        <v>22.083333333333332</v>
      </c>
      <c r="I3" s="7" t="s">
        <v>18</v>
      </c>
      <c r="J3" s="9">
        <f>(O1*J2*(D3+G3))+(E3*J2)+(H3)+(B3/12)</f>
        <v>43.25333333333333</v>
      </c>
      <c r="K3" s="59">
        <f>O1-(J3/J2)</f>
        <v>18.558222222222224</v>
      </c>
      <c r="L3" s="16">
        <f>(O1*L2*(D3+G3))+(E3*L2)+H3+B3/12</f>
        <v>62.657333333333327</v>
      </c>
      <c r="M3" s="75">
        <f>O1-(L3/L2)</f>
        <v>19.050646464646466</v>
      </c>
      <c r="N3" s="12">
        <f>(O1*N2*(D3+G3))+(E3*N2)+H3+B3/12</f>
        <v>566.08333333333337</v>
      </c>
      <c r="O3" s="40">
        <f>O1-(N3/N2)</f>
        <v>19.433916666666665</v>
      </c>
      <c r="P3" s="53"/>
      <c r="Q3" s="26"/>
      <c r="R3" s="26"/>
    </row>
    <row r="4" spans="1:18" ht="15.75" thickBot="1">
      <c r="A4" s="42" t="s">
        <v>12</v>
      </c>
      <c r="B4" s="1">
        <v>60</v>
      </c>
      <c r="C4" s="6">
        <f>195/12</f>
        <v>16.25</v>
      </c>
      <c r="D4" s="3">
        <v>0</v>
      </c>
      <c r="E4" s="6">
        <v>0.14899999999999999</v>
      </c>
      <c r="F4" s="6">
        <f>B20</f>
        <v>15</v>
      </c>
      <c r="G4" s="63">
        <f>B19</f>
        <v>1.95E-2</v>
      </c>
      <c r="H4" s="6">
        <f>C4+F4</f>
        <v>31.25</v>
      </c>
      <c r="I4" s="7" t="s">
        <v>16</v>
      </c>
      <c r="J4" s="10">
        <f>(O1*J2*(D4+G4))+(E4*J2)+H4+(B4/12)</f>
        <v>52.42</v>
      </c>
      <c r="K4" s="17">
        <f>O1-(J4/J2)</f>
        <v>18.252666666666666</v>
      </c>
      <c r="L4" s="2">
        <f>(O1*L2*(D4+G4))+(E4*L2)+H4+B4/12</f>
        <v>71.823999999999998</v>
      </c>
      <c r="M4" s="24">
        <f>O1-(L4/L2)</f>
        <v>18.911757575757576</v>
      </c>
      <c r="N4" s="15">
        <f>(O1*N2*(D4+G4))+(E4*N2)+H4+B4/12</f>
        <v>575.25</v>
      </c>
      <c r="O4" s="21">
        <f>O1-(N4/N2)</f>
        <v>19.42475</v>
      </c>
      <c r="P4" s="52"/>
      <c r="Q4" s="26"/>
      <c r="R4" s="43"/>
    </row>
    <row r="5" spans="1:18" ht="15.75" thickBot="1">
      <c r="A5" s="28" t="s">
        <v>13</v>
      </c>
      <c r="B5" s="1">
        <v>60</v>
      </c>
      <c r="C5" s="6">
        <f>249/12</f>
        <v>20.75</v>
      </c>
      <c r="D5" s="3">
        <v>0</v>
      </c>
      <c r="E5" s="6">
        <v>0.14899999999999999</v>
      </c>
      <c r="F5" s="6">
        <f>B20</f>
        <v>15</v>
      </c>
      <c r="G5" s="63">
        <f>B19</f>
        <v>1.95E-2</v>
      </c>
      <c r="H5" s="6">
        <f t="shared" ref="H5:H15" si="0">C5+F5</f>
        <v>35.75</v>
      </c>
      <c r="I5" s="7" t="s">
        <v>17</v>
      </c>
      <c r="J5" s="10">
        <f>(O1*J2*(D5+G5))+(E5*J2)+H5+B5/12</f>
        <v>56.92</v>
      </c>
      <c r="K5" s="17">
        <f>O1-(J5/J2)</f>
        <v>18.102666666666668</v>
      </c>
      <c r="L5" s="2">
        <f>(O1*L2*(D5+G5))+(E5*L2)+H5+B5/12</f>
        <v>76.323999999999998</v>
      </c>
      <c r="M5" s="24">
        <f>O1-(L5/L2)</f>
        <v>18.843575757575756</v>
      </c>
      <c r="N5" s="15">
        <f>(O1*N2*(D5+G5))+(E5*N2)+H5+B5/12</f>
        <v>579.75</v>
      </c>
      <c r="O5" s="25">
        <f>O1-(N5/N2)</f>
        <v>19.420249999999999</v>
      </c>
      <c r="P5" s="51"/>
      <c r="Q5" s="26"/>
      <c r="R5" s="43"/>
    </row>
    <row r="6" spans="1:18" ht="15.75" thickBot="1">
      <c r="A6" s="28" t="s">
        <v>0</v>
      </c>
      <c r="B6" s="26">
        <v>200</v>
      </c>
      <c r="C6" s="29">
        <v>15</v>
      </c>
      <c r="D6" s="30">
        <v>1.4999999999999999E-2</v>
      </c>
      <c r="E6" s="29">
        <v>0</v>
      </c>
      <c r="F6" s="29">
        <f>B20</f>
        <v>15</v>
      </c>
      <c r="G6" s="64">
        <f>B19</f>
        <v>1.95E-2</v>
      </c>
      <c r="H6" s="6">
        <f t="shared" si="0"/>
        <v>30</v>
      </c>
      <c r="I6" s="28"/>
      <c r="J6" s="10">
        <f>(O1*J2*(D6+G6))+(E6*J2)+H6+B6/12</f>
        <v>67.366666666666674</v>
      </c>
      <c r="K6" s="17">
        <f>O1-(J6/J2)</f>
        <v>17.754444444444445</v>
      </c>
      <c r="L6" s="26">
        <f>(O1*L2*(D6+G6))+(E6*L2)+H6+B6/12</f>
        <v>92.206666666666678</v>
      </c>
      <c r="M6" s="24">
        <f>O1-(L6/L2)</f>
        <v>18.602929292929293</v>
      </c>
      <c r="N6" s="27">
        <f>(O1*N2*(D6+G6))+(E6*N2)+H6+B6/12</f>
        <v>736.66666666666674</v>
      </c>
      <c r="O6" s="25">
        <f>O1-(N6/N2)</f>
        <v>19.263333333333332</v>
      </c>
      <c r="P6" s="52"/>
      <c r="Q6" s="26"/>
      <c r="R6" s="43"/>
    </row>
    <row r="7" spans="1:18" ht="15.75" thickBot="1">
      <c r="A7" s="28" t="s">
        <v>28</v>
      </c>
      <c r="B7" s="26">
        <v>300</v>
      </c>
      <c r="C7" s="29">
        <v>30</v>
      </c>
      <c r="D7" s="30">
        <v>3.2899999999999999E-2</v>
      </c>
      <c r="E7" s="29">
        <v>0</v>
      </c>
      <c r="F7" s="29">
        <v>0</v>
      </c>
      <c r="G7" s="64">
        <v>0</v>
      </c>
      <c r="H7" s="6">
        <f t="shared" si="0"/>
        <v>30</v>
      </c>
      <c r="I7" s="28" t="s">
        <v>11</v>
      </c>
      <c r="J7" s="10">
        <f>(O1*J2*(D7+G7))+(E7*J2)+H7+B7/12</f>
        <v>74.739999999999995</v>
      </c>
      <c r="K7" s="17">
        <f>O1-(J7/J2)</f>
        <v>17.508666666666667</v>
      </c>
      <c r="L7" s="26">
        <f>(O1*L2*(D7+G7))+(E7*L2)+H7+B7/12</f>
        <v>98.427999999999997</v>
      </c>
      <c r="M7" s="24">
        <f>O1-(L7/L2)</f>
        <v>18.508666666666667</v>
      </c>
      <c r="N7" s="27">
        <f>(O1*N2*(D7+G7))+(E7*N2)+H7+B7/12</f>
        <v>713</v>
      </c>
      <c r="O7" s="25">
        <f>O1-(N7/N2)</f>
        <v>19.286999999999999</v>
      </c>
      <c r="P7" s="51"/>
      <c r="Q7" s="26"/>
      <c r="R7" s="43"/>
    </row>
    <row r="8" spans="1:18" ht="15.75" thickBot="1">
      <c r="A8" s="31" t="s">
        <v>23</v>
      </c>
      <c r="B8" s="26">
        <v>200</v>
      </c>
      <c r="C8" s="29">
        <v>30</v>
      </c>
      <c r="D8" s="30">
        <f>4.5%+0.6%</f>
        <v>5.0999999999999997E-2</v>
      </c>
      <c r="E8" s="29">
        <v>0</v>
      </c>
      <c r="F8" s="29">
        <v>0</v>
      </c>
      <c r="G8" s="63">
        <v>0</v>
      </c>
      <c r="H8" s="6">
        <f t="shared" si="0"/>
        <v>30</v>
      </c>
      <c r="I8" s="7" t="s">
        <v>11</v>
      </c>
      <c r="J8" s="36">
        <f>(O1*J2*(D8+G8))+(E8*J2)+H8+B8/12</f>
        <v>77.266666666666666</v>
      </c>
      <c r="K8" s="17">
        <f>O1-(J8/J2)</f>
        <v>17.424444444444443</v>
      </c>
      <c r="L8" s="26">
        <f>(O1*L2*(D8+G8))+(E8*L2)+H8+B8/12</f>
        <v>113.98666666666666</v>
      </c>
      <c r="M8" s="24">
        <f>O1-(L8/L2)</f>
        <v>18.272929292929295</v>
      </c>
      <c r="N8" s="27">
        <f>(O1*N2*(D8+G8))+(E8*N2)+H8+B8/12</f>
        <v>1066.6666666666667</v>
      </c>
      <c r="O8" s="25">
        <f>O1-(N8/N2)</f>
        <v>18.933333333333334</v>
      </c>
      <c r="P8" s="52"/>
      <c r="Q8" s="26"/>
      <c r="R8" s="43"/>
    </row>
    <row r="9" spans="1:18" ht="15.75" thickBot="1">
      <c r="A9" s="31" t="s">
        <v>24</v>
      </c>
      <c r="B9" s="1">
        <v>75</v>
      </c>
      <c r="C9" s="6">
        <f>15</f>
        <v>15</v>
      </c>
      <c r="D9" s="3">
        <v>3.3500000000000002E-2</v>
      </c>
      <c r="E9" s="6">
        <v>0.15</v>
      </c>
      <c r="F9" s="6">
        <v>0</v>
      </c>
      <c r="G9" s="63">
        <v>0</v>
      </c>
      <c r="H9" s="6">
        <f t="shared" si="0"/>
        <v>15</v>
      </c>
      <c r="I9" s="7" t="s">
        <v>11</v>
      </c>
      <c r="J9" s="10">
        <f>(O1*J2*(D9+G9))+(E9*J2)+H9+B9/12</f>
        <v>45.85</v>
      </c>
      <c r="K9" s="35">
        <f>O1-(J9/J2)</f>
        <v>18.471666666666668</v>
      </c>
      <c r="L9" s="2">
        <f>(O1*L2*(D9+G9))+(E9*L2)+H9+B9/12</f>
        <v>75.37</v>
      </c>
      <c r="M9" s="24">
        <f>O1-(L9/L2)</f>
        <v>18.858030303030304</v>
      </c>
      <c r="N9" s="15">
        <f>(O1*N2*(D9+G9))+(E9*N2)+H9+B9/12</f>
        <v>841.25</v>
      </c>
      <c r="O9" s="25">
        <f>O1-(N9/N2)</f>
        <v>19.158750000000001</v>
      </c>
      <c r="P9" s="71"/>
      <c r="Q9" s="26"/>
      <c r="R9" s="43"/>
    </row>
    <row r="10" spans="1:18" ht="15" customHeight="1" thickBot="1">
      <c r="A10" s="41" t="s">
        <v>1</v>
      </c>
      <c r="B10" s="1">
        <v>0</v>
      </c>
      <c r="C10" s="6">
        <f>20</f>
        <v>20</v>
      </c>
      <c r="D10" s="3">
        <v>0</v>
      </c>
      <c r="E10" s="6">
        <v>0</v>
      </c>
      <c r="F10" s="6">
        <f>B20</f>
        <v>15</v>
      </c>
      <c r="G10" s="63">
        <f>B19</f>
        <v>1.95E-2</v>
      </c>
      <c r="H10" s="6">
        <f t="shared" si="0"/>
        <v>35</v>
      </c>
      <c r="I10" s="7" t="s">
        <v>7</v>
      </c>
      <c r="J10" s="10">
        <f>(O1*J2*(D10+G10))+(E10*J2)+H10+B10/12</f>
        <v>46.7</v>
      </c>
      <c r="K10" s="17">
        <f>O1-(J10/J2)</f>
        <v>18.443333333333332</v>
      </c>
      <c r="L10" s="2">
        <f>(O1*L2*(D10+G10))+(E10*L2)+H10+B10/12</f>
        <v>60.739999999999995</v>
      </c>
      <c r="M10" s="33">
        <f>O1-(L10/L2)</f>
        <v>19.079696969696968</v>
      </c>
      <c r="N10" s="15">
        <f>(O1*N2*(D10+G10))+(E10*N2)+H10+B10/12</f>
        <v>425</v>
      </c>
      <c r="O10" s="37">
        <f>O1-(N10/N2)</f>
        <v>19.574999999999999</v>
      </c>
      <c r="P10" s="48"/>
      <c r="Q10" s="26"/>
      <c r="R10" s="43"/>
    </row>
    <row r="11" spans="1:18" ht="15.75" thickBot="1">
      <c r="A11" s="34" t="s">
        <v>25</v>
      </c>
      <c r="B11" s="1">
        <v>0</v>
      </c>
      <c r="C11" s="6">
        <v>20</v>
      </c>
      <c r="D11" s="3">
        <v>3.4000000000000002E-2</v>
      </c>
      <c r="E11" s="6">
        <v>0.2</v>
      </c>
      <c r="F11" s="6">
        <v>0</v>
      </c>
      <c r="G11" s="63">
        <v>0</v>
      </c>
      <c r="H11" s="6">
        <f t="shared" si="0"/>
        <v>20</v>
      </c>
      <c r="I11" s="7" t="s">
        <v>11</v>
      </c>
      <c r="J11" s="10">
        <f>(O1*J2*(D11+G11))+(E11*J2)+H11+B11/12</f>
        <v>46.400000000000006</v>
      </c>
      <c r="K11" s="17">
        <f>O1-(J11/J2)</f>
        <v>18.453333333333333</v>
      </c>
      <c r="L11" s="2">
        <f>(O1*L2*(D11+G11))+(E11*L2)+H11+B11/12</f>
        <v>78.080000000000013</v>
      </c>
      <c r="M11" s="24">
        <f>O1-(L11/L2)</f>
        <v>18.816969696969696</v>
      </c>
      <c r="N11" s="15">
        <f>(O1*N2*(D11+G11))+(E11*N2)+H11+B11/12</f>
        <v>900</v>
      </c>
      <c r="O11" s="25">
        <f>O1-(N11/N2)</f>
        <v>19.100000000000001</v>
      </c>
      <c r="P11" s="52"/>
      <c r="Q11" s="26"/>
      <c r="R11" s="43"/>
    </row>
    <row r="12" spans="1:18" ht="15" customHeight="1" thickBot="1">
      <c r="A12" s="32" t="s">
        <v>26</v>
      </c>
      <c r="B12" s="1">
        <v>0</v>
      </c>
      <c r="C12" s="6">
        <v>0</v>
      </c>
      <c r="D12" s="3">
        <v>3.4000000000000002E-2</v>
      </c>
      <c r="E12" s="6">
        <v>0.2</v>
      </c>
      <c r="F12" s="6">
        <v>0</v>
      </c>
      <c r="G12" s="63">
        <v>0</v>
      </c>
      <c r="H12" s="6">
        <f t="shared" si="0"/>
        <v>0</v>
      </c>
      <c r="I12" s="7" t="s">
        <v>11</v>
      </c>
      <c r="J12" s="10">
        <f>(O1*J2*(D12+G12))+(E12*J2)+H12+B12/12</f>
        <v>26.400000000000002</v>
      </c>
      <c r="K12" s="39">
        <f>O1-(J12/J2)</f>
        <v>19.12</v>
      </c>
      <c r="L12" s="2">
        <f>(O1*L2*(D12+G12))+(E12*L2)+H12+B12/12</f>
        <v>58.080000000000005</v>
      </c>
      <c r="M12" s="19">
        <f>O1-(L12/L2)</f>
        <v>19.12</v>
      </c>
      <c r="N12" s="15">
        <f>(O1*N2*(D12+G12))+(E12*N2)+H12+B12/12</f>
        <v>880</v>
      </c>
      <c r="O12" s="25">
        <f>O1-(N12/N2)</f>
        <v>19.12</v>
      </c>
      <c r="P12" s="73"/>
      <c r="Q12" s="26"/>
      <c r="R12" s="43"/>
    </row>
    <row r="13" spans="1:18" ht="15.75" thickBot="1">
      <c r="A13" s="76" t="s">
        <v>27</v>
      </c>
      <c r="B13" s="77">
        <v>50</v>
      </c>
      <c r="C13" s="78">
        <v>0</v>
      </c>
      <c r="D13" s="79">
        <v>2.9000000000000001E-2</v>
      </c>
      <c r="E13" s="78">
        <v>0.2</v>
      </c>
      <c r="F13" s="78">
        <v>0</v>
      </c>
      <c r="G13" s="80">
        <v>0</v>
      </c>
      <c r="H13" s="78">
        <f t="shared" si="0"/>
        <v>0</v>
      </c>
      <c r="I13" s="76" t="s">
        <v>35</v>
      </c>
      <c r="J13" s="81">
        <f>(O1*J2*(D13+G13))+(E13*J2)+H13+B13/12</f>
        <v>27.56666666666667</v>
      </c>
      <c r="K13" s="82">
        <f>O1-(J13/J2)</f>
        <v>19.08111111111111</v>
      </c>
      <c r="L13" s="83">
        <f>(O1*L2*(D13+G13))+(E13*L2)+H13+B13/12</f>
        <v>55.646666666666668</v>
      </c>
      <c r="M13" s="83">
        <f>O1-(L13/L2)</f>
        <v>19.156868686868687</v>
      </c>
      <c r="N13" s="84">
        <f>(O1*N2*(D13+G13))+(E13*N2)+H13+B13/12</f>
        <v>784.16666666666663</v>
      </c>
      <c r="O13" s="85">
        <f>O1-(N13/N2)</f>
        <v>19.215833333333332</v>
      </c>
      <c r="P13" s="78"/>
      <c r="Q13" s="26"/>
      <c r="R13" s="43"/>
    </row>
    <row r="14" spans="1:18" ht="15" customHeight="1" thickBot="1">
      <c r="A14" s="41" t="s">
        <v>20</v>
      </c>
      <c r="B14" s="2">
        <v>20</v>
      </c>
      <c r="C14" s="6">
        <f>100/12</f>
        <v>8.3333333333333339</v>
      </c>
      <c r="D14" s="3">
        <v>0</v>
      </c>
      <c r="E14" s="6">
        <v>0</v>
      </c>
      <c r="F14" s="6">
        <f>B20</f>
        <v>15</v>
      </c>
      <c r="G14" s="63">
        <f>B19</f>
        <v>1.95E-2</v>
      </c>
      <c r="H14" s="6">
        <f t="shared" si="0"/>
        <v>23.333333333333336</v>
      </c>
      <c r="I14" s="7" t="s">
        <v>21</v>
      </c>
      <c r="J14" s="10">
        <f>(O1*J2*(D14+G14))+(E14*J2)+H14+B14/12</f>
        <v>36.699999999999996</v>
      </c>
      <c r="K14" s="18">
        <f>O1-(J14/J2)</f>
        <v>18.776666666666667</v>
      </c>
      <c r="L14" s="2">
        <f>(O1*L2*(D14+G14))+(E14*L2)+H14+B14/12</f>
        <v>50.74</v>
      </c>
      <c r="M14" s="38">
        <f>O1-(L14/L2)</f>
        <v>19.231212121212121</v>
      </c>
      <c r="N14" s="46"/>
      <c r="O14" s="47"/>
      <c r="P14" s="48"/>
      <c r="Q14" s="26"/>
      <c r="R14" s="43"/>
    </row>
    <row r="15" spans="1:18" ht="15" customHeight="1" thickBot="1">
      <c r="A15" s="41" t="s">
        <v>19</v>
      </c>
      <c r="B15" s="2">
        <v>50</v>
      </c>
      <c r="C15" s="6">
        <v>20</v>
      </c>
      <c r="D15" s="3">
        <v>0</v>
      </c>
      <c r="E15" s="6">
        <v>0</v>
      </c>
      <c r="F15" s="6">
        <f>B20</f>
        <v>15</v>
      </c>
      <c r="G15" s="63">
        <f>B19</f>
        <v>1.95E-2</v>
      </c>
      <c r="H15" s="6">
        <f t="shared" si="0"/>
        <v>35</v>
      </c>
      <c r="I15" s="7" t="s">
        <v>22</v>
      </c>
      <c r="J15" s="10">
        <f>(O1*J2*(D15+G15))+(E15*J2)+H15+B15/12</f>
        <v>50.866666666666667</v>
      </c>
      <c r="K15" s="17">
        <f>O1-(J15/J2)</f>
        <v>18.304444444444446</v>
      </c>
      <c r="L15" s="2">
        <f>(O1*L2*(D15+G15))+(E15*L2)+H15+B15/12</f>
        <v>64.906666666666666</v>
      </c>
      <c r="M15" s="24">
        <f>O1-(L15/L2)</f>
        <v>19.016565656565657</v>
      </c>
      <c r="N15" s="15">
        <f>(O1*N2*(D15+G15))+(E15*N2)+H15+B15/12</f>
        <v>429.16666666666669</v>
      </c>
      <c r="O15" s="20">
        <f>O1-(N15/N2)</f>
        <v>19.570833333333333</v>
      </c>
      <c r="P15" s="72"/>
      <c r="Q15" s="26"/>
      <c r="R15" s="43"/>
    </row>
    <row r="16" spans="1:18" ht="15.75" thickBot="1">
      <c r="A16" s="55"/>
      <c r="B16" s="56"/>
      <c r="C16" s="49"/>
      <c r="D16" s="57"/>
      <c r="E16" s="49"/>
      <c r="F16" s="49"/>
      <c r="G16" s="65"/>
      <c r="H16" s="49"/>
      <c r="I16" s="55"/>
      <c r="J16" s="58"/>
      <c r="K16" s="54"/>
      <c r="L16" s="56"/>
      <c r="M16" s="56"/>
      <c r="N16" s="44"/>
      <c r="O16" s="45"/>
      <c r="P16" s="49"/>
      <c r="Q16" s="26"/>
      <c r="R16" s="43"/>
    </row>
    <row r="17" spans="1:18">
      <c r="P17" s="43"/>
      <c r="Q17" s="43"/>
      <c r="R17" s="43"/>
    </row>
    <row r="18" spans="1:18" ht="15.75" thickBot="1"/>
    <row r="19" spans="1:18" ht="15.75" thickBot="1">
      <c r="A19" s="22" t="s">
        <v>15</v>
      </c>
      <c r="B19" s="23">
        <v>1.95E-2</v>
      </c>
      <c r="J19" s="97"/>
      <c r="K19" s="97"/>
      <c r="L19" s="97"/>
      <c r="M19" s="97"/>
      <c r="N19" s="97"/>
      <c r="O19" s="97"/>
    </row>
    <row r="20" spans="1:18" ht="15.75" thickBot="1">
      <c r="A20" s="69" t="s">
        <v>32</v>
      </c>
      <c r="B20" s="68">
        <v>15</v>
      </c>
    </row>
    <row r="22" spans="1:18">
      <c r="D22" s="26"/>
      <c r="E22" s="26"/>
      <c r="F22" s="30"/>
      <c r="G22" s="70"/>
    </row>
    <row r="23" spans="1:18">
      <c r="D23" s="26"/>
      <c r="E23" s="26"/>
      <c r="F23" s="30"/>
      <c r="G23" s="70"/>
      <c r="Q23" s="74"/>
    </row>
    <row r="24" spans="1:18">
      <c r="D24" s="70"/>
      <c r="E24" s="70"/>
      <c r="F24" s="70"/>
      <c r="G24" s="70"/>
    </row>
  </sheetData>
  <mergeCells count="13">
    <mergeCell ref="H1:H2"/>
    <mergeCell ref="J19:K19"/>
    <mergeCell ref="L19:M19"/>
    <mergeCell ref="N19:O19"/>
    <mergeCell ref="A1:A2"/>
    <mergeCell ref="B1:B2"/>
    <mergeCell ref="I1:I2"/>
    <mergeCell ref="N2:O2"/>
    <mergeCell ref="L2:M2"/>
    <mergeCell ref="J2:K2"/>
    <mergeCell ref="J1:N1"/>
    <mergeCell ref="F1:G1"/>
    <mergeCell ref="C1:E1"/>
  </mergeCells>
  <pageMargins left="0.7" right="0.7" top="0.75" bottom="0.75" header="0.3" footer="0.3"/>
  <pageSetup paperSize="9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9"/>
  <sheetViews>
    <sheetView tabSelected="1" workbookViewId="0">
      <pane xSplit="1" topLeftCell="B1" activePane="topRight" state="frozen"/>
      <selection pane="topRight" activeCell="I26" sqref="I26"/>
    </sheetView>
  </sheetViews>
  <sheetFormatPr defaultRowHeight="15"/>
  <cols>
    <col min="1" max="1" width="26.7109375" customWidth="1"/>
    <col min="2" max="3" width="10.7109375" customWidth="1"/>
    <col min="4" max="4" width="11.85546875" customWidth="1"/>
    <col min="5" max="5" width="11.5703125" customWidth="1"/>
    <col min="6" max="6" width="10.7109375" customWidth="1"/>
    <col min="7" max="7" width="11.42578125" customWidth="1"/>
    <col min="8" max="8" width="10.7109375" customWidth="1"/>
    <col min="9" max="9" width="59.140625" customWidth="1"/>
    <col min="15" max="15" width="9" bestFit="1" customWidth="1"/>
    <col min="16" max="16" width="2.5703125" customWidth="1"/>
  </cols>
  <sheetData>
    <row r="1" spans="1:18" ht="15" customHeight="1" thickBot="1">
      <c r="A1" s="98" t="s">
        <v>2</v>
      </c>
      <c r="B1" s="100" t="s">
        <v>3</v>
      </c>
      <c r="C1" s="111" t="s">
        <v>30</v>
      </c>
      <c r="D1" s="112"/>
      <c r="E1" s="113"/>
      <c r="F1" s="109" t="s">
        <v>14</v>
      </c>
      <c r="G1" s="110"/>
      <c r="H1" s="95" t="s">
        <v>33</v>
      </c>
      <c r="I1" s="98" t="s">
        <v>6</v>
      </c>
      <c r="J1" s="107" t="s">
        <v>8</v>
      </c>
      <c r="K1" s="108"/>
      <c r="L1" s="108"/>
      <c r="M1" s="108"/>
      <c r="N1" s="108"/>
      <c r="O1" s="13">
        <f>B18</f>
        <v>215</v>
      </c>
      <c r="P1" s="8"/>
      <c r="Q1" s="50"/>
      <c r="R1" s="50"/>
    </row>
    <row r="2" spans="1:18" ht="30.75" thickBot="1">
      <c r="A2" s="99"/>
      <c r="B2" s="101"/>
      <c r="C2" s="61" t="s">
        <v>9</v>
      </c>
      <c r="D2" s="66" t="s">
        <v>10</v>
      </c>
      <c r="E2" s="62" t="s">
        <v>4</v>
      </c>
      <c r="F2" s="61" t="s">
        <v>8</v>
      </c>
      <c r="G2" s="62" t="s">
        <v>29</v>
      </c>
      <c r="H2" s="96"/>
      <c r="I2" s="99"/>
      <c r="J2" s="114">
        <v>35</v>
      </c>
      <c r="K2" s="115"/>
      <c r="L2" s="116">
        <v>66</v>
      </c>
      <c r="M2" s="115"/>
      <c r="N2" s="116">
        <v>95</v>
      </c>
      <c r="O2" s="117"/>
      <c r="P2" s="14"/>
      <c r="Q2" s="11"/>
      <c r="R2" s="11"/>
    </row>
    <row r="3" spans="1:18" ht="15.75" thickBot="1">
      <c r="A3" s="61"/>
      <c r="B3" s="67"/>
      <c r="C3" s="61"/>
      <c r="D3" s="66"/>
      <c r="E3" s="62"/>
      <c r="F3" s="61"/>
      <c r="G3" s="62"/>
      <c r="H3" s="62"/>
      <c r="I3" s="61"/>
      <c r="J3" s="91" t="s">
        <v>38</v>
      </c>
      <c r="K3" s="92" t="s">
        <v>39</v>
      </c>
      <c r="L3" s="90" t="s">
        <v>38</v>
      </c>
      <c r="M3" s="90" t="s">
        <v>39</v>
      </c>
      <c r="N3" s="93" t="s">
        <v>38</v>
      </c>
      <c r="O3" s="94" t="s">
        <v>39</v>
      </c>
      <c r="P3" s="60"/>
      <c r="Q3" s="11"/>
      <c r="R3" s="11"/>
    </row>
    <row r="4" spans="1:18" ht="15.75" thickBot="1">
      <c r="A4" s="28" t="s">
        <v>0</v>
      </c>
      <c r="B4" s="26">
        <v>0</v>
      </c>
      <c r="C4" s="29">
        <v>15</v>
      </c>
      <c r="D4" s="30">
        <v>1.4999999999999999E-2</v>
      </c>
      <c r="E4" s="29">
        <v>0</v>
      </c>
      <c r="F4" s="29">
        <f>B17</f>
        <v>15</v>
      </c>
      <c r="G4" s="64">
        <f>B16</f>
        <v>1.95E-2</v>
      </c>
      <c r="H4" s="29">
        <f t="shared" ref="H4:H12" si="0">C4+F4</f>
        <v>30</v>
      </c>
      <c r="I4" s="28"/>
      <c r="J4" s="36">
        <f>(O1*J2*(D4+G4))+(E4*J2)+H4+B4/12</f>
        <v>289.61250000000001</v>
      </c>
      <c r="K4" s="35">
        <f>O1-(J4/J2)</f>
        <v>206.72535714285715</v>
      </c>
      <c r="L4" s="26">
        <f>(O1*L2*(D4+G4))+(E4*L2)+H4+B4/12</f>
        <v>519.55500000000006</v>
      </c>
      <c r="M4" s="26">
        <f>O1-(L4/L2)</f>
        <v>207.12795454545454</v>
      </c>
      <c r="N4" s="27">
        <f>(O1*N2*(D4+G4))+(E4*N2)+H4+B4/12</f>
        <v>734.66250000000002</v>
      </c>
      <c r="O4" s="21">
        <f>O1-(N4/N2)</f>
        <v>207.26671052631579</v>
      </c>
      <c r="P4" s="29"/>
      <c r="Q4" s="26"/>
      <c r="R4" s="43"/>
    </row>
    <row r="5" spans="1:18" ht="15.75" thickBot="1">
      <c r="A5" s="28"/>
      <c r="B5" s="26"/>
      <c r="C5" s="29"/>
      <c r="D5" s="30"/>
      <c r="E5" s="29"/>
      <c r="F5" s="29"/>
      <c r="G5" s="64"/>
      <c r="H5" s="29"/>
      <c r="I5" s="28"/>
      <c r="J5" s="36"/>
      <c r="K5" s="35"/>
      <c r="L5" s="26"/>
      <c r="M5" s="26"/>
      <c r="N5" s="27"/>
      <c r="O5" s="21"/>
      <c r="P5" s="87"/>
      <c r="Q5" s="26"/>
      <c r="R5" s="43"/>
    </row>
    <row r="6" spans="1:18" ht="15.75" thickBot="1">
      <c r="A6" s="28" t="s">
        <v>23</v>
      </c>
      <c r="B6" s="86">
        <v>0</v>
      </c>
      <c r="C6" s="29">
        <v>30</v>
      </c>
      <c r="D6" s="30">
        <f>4.5%+0.6%</f>
        <v>5.0999999999999997E-2</v>
      </c>
      <c r="E6" s="29">
        <v>0</v>
      </c>
      <c r="F6" s="29">
        <v>0</v>
      </c>
      <c r="G6" s="64">
        <v>0</v>
      </c>
      <c r="H6" s="29">
        <f t="shared" si="0"/>
        <v>30</v>
      </c>
      <c r="I6" s="28"/>
      <c r="J6" s="36">
        <f>(O1*J2*(D6+G6))+(E6*J2)+H6+B6/12</f>
        <v>413.77499999999998</v>
      </c>
      <c r="K6" s="35">
        <f>O1-(J6/J2)</f>
        <v>203.17785714285714</v>
      </c>
      <c r="L6" s="26">
        <f>(O1*L2*(D6+G6))+(E6*L2)+H6+B6/12</f>
        <v>753.68999999999994</v>
      </c>
      <c r="M6" s="26">
        <f>O1-(L6/L2)</f>
        <v>203.58045454545456</v>
      </c>
      <c r="N6" s="27">
        <f>(O1*N2*(D6+G6))+(E6*N2)+H6+B6/12</f>
        <v>1071.675</v>
      </c>
      <c r="O6" s="21">
        <f>O1-(N6/N2)</f>
        <v>203.71921052631578</v>
      </c>
      <c r="P6" s="29"/>
      <c r="Q6" s="26"/>
      <c r="R6" s="43"/>
    </row>
    <row r="7" spans="1:18" ht="15.75" thickBot="1">
      <c r="A7" s="28"/>
      <c r="B7" s="86">
        <v>0</v>
      </c>
      <c r="C7" s="29">
        <f>15</f>
        <v>15</v>
      </c>
      <c r="D7" s="30">
        <v>3.3500000000000002E-2</v>
      </c>
      <c r="E7" s="29">
        <v>0.15</v>
      </c>
      <c r="F7" s="29">
        <v>0</v>
      </c>
      <c r="G7" s="64">
        <v>0</v>
      </c>
      <c r="H7" s="29">
        <f t="shared" si="0"/>
        <v>15</v>
      </c>
      <c r="I7" s="28"/>
      <c r="J7" s="36">
        <f>(O1*J2*(D7+G7))+(E7*J2)+H7+B7/12</f>
        <v>272.33749999999998</v>
      </c>
      <c r="K7" s="35">
        <f>O1-(J7/J2)</f>
        <v>207.21892857142856</v>
      </c>
      <c r="L7" s="26">
        <f>(O1*L2*(D7+G7))+(E7*L2)+H7+B7/12</f>
        <v>500.26499999999999</v>
      </c>
      <c r="M7" s="26">
        <f>O1-(L7/L2)</f>
        <v>207.42022727272726</v>
      </c>
      <c r="N7" s="27">
        <f>(O1*N2*(D7+G7))+(E7*N2)+H7+B7/12</f>
        <v>713.48750000000007</v>
      </c>
      <c r="O7" s="21">
        <f>O1-(N7/N2)</f>
        <v>207.4896052631579</v>
      </c>
      <c r="P7" s="87"/>
      <c r="Q7" s="26"/>
      <c r="R7" s="43"/>
    </row>
    <row r="8" spans="1:18" ht="15" customHeight="1" thickBot="1">
      <c r="A8" s="28" t="s">
        <v>42</v>
      </c>
      <c r="B8" s="86">
        <v>0</v>
      </c>
      <c r="C8" s="29">
        <v>19.899999999999999</v>
      </c>
      <c r="D8" s="30">
        <v>0</v>
      </c>
      <c r="E8" s="29">
        <v>0</v>
      </c>
      <c r="F8" s="29">
        <f>B17</f>
        <v>15</v>
      </c>
      <c r="G8" s="64">
        <f>B16</f>
        <v>1.95E-2</v>
      </c>
      <c r="H8" s="29">
        <f t="shared" si="0"/>
        <v>34.9</v>
      </c>
      <c r="I8" s="28" t="s">
        <v>22</v>
      </c>
      <c r="J8" s="36">
        <f>(O1*J2*(D8+G8))+(E8*J2)+H8+B8/12</f>
        <v>181.63750000000002</v>
      </c>
      <c r="K8" s="35">
        <f>O1-(J8/J2)</f>
        <v>209.81035714285713</v>
      </c>
      <c r="L8" s="26">
        <f>(O1*L2*(D8+G8))+(E8*L2)+H8+B8/12</f>
        <v>311.60499999999996</v>
      </c>
      <c r="M8" s="26">
        <f>O1-(L8/L2)</f>
        <v>210.27871212121212</v>
      </c>
      <c r="N8" s="27">
        <f>(O1*N2*(D8+G8))+(E8*N2)+H8+B8/12</f>
        <v>433.1875</v>
      </c>
      <c r="O8" s="120">
        <f>O1-(N8/N2)</f>
        <v>210.44013157894736</v>
      </c>
      <c r="P8" s="88"/>
      <c r="Q8" s="26"/>
      <c r="R8" s="43"/>
    </row>
    <row r="9" spans="1:18" ht="15" customHeight="1" thickBot="1">
      <c r="A9" s="28" t="s">
        <v>26</v>
      </c>
      <c r="B9" s="86">
        <v>0</v>
      </c>
      <c r="C9" s="29">
        <v>0</v>
      </c>
      <c r="D9" s="30">
        <v>3.4000000000000002E-2</v>
      </c>
      <c r="E9" s="29">
        <v>0.2</v>
      </c>
      <c r="F9" s="29">
        <v>0</v>
      </c>
      <c r="G9" s="64">
        <v>0</v>
      </c>
      <c r="H9" s="29">
        <f t="shared" si="0"/>
        <v>0</v>
      </c>
      <c r="I9" s="28" t="s">
        <v>11</v>
      </c>
      <c r="J9" s="36">
        <f>(O1*J2*(D9+G9))+(E9*J2)+H9+B9/12</f>
        <v>262.85000000000002</v>
      </c>
      <c r="K9" s="35">
        <f>O1-(J9/J2)</f>
        <v>207.49</v>
      </c>
      <c r="L9" s="26">
        <f>(O1*L2*(D9+G9))+(E9*L2)+H9+B9/12</f>
        <v>495.66</v>
      </c>
      <c r="M9" s="26">
        <f>O1-(L9/L2)</f>
        <v>207.49</v>
      </c>
      <c r="N9" s="27">
        <f>(O1*N2*(D9+G9))+(E9*N2)+H9+B9/12</f>
        <v>713.45</v>
      </c>
      <c r="O9" s="21">
        <f>O1-(N9/N2)</f>
        <v>207.49</v>
      </c>
      <c r="P9" s="88"/>
      <c r="Q9" s="26"/>
      <c r="R9" s="43"/>
    </row>
    <row r="10" spans="1:18" ht="15.75" thickBot="1">
      <c r="A10" s="28" t="s">
        <v>27</v>
      </c>
      <c r="B10" s="86">
        <v>0</v>
      </c>
      <c r="C10" s="29">
        <v>0</v>
      </c>
      <c r="D10" s="30">
        <v>2.9000000000000001E-2</v>
      </c>
      <c r="E10" s="29">
        <v>0.2</v>
      </c>
      <c r="F10" s="29">
        <v>0</v>
      </c>
      <c r="G10" s="64">
        <v>0</v>
      </c>
      <c r="H10" s="29">
        <f t="shared" si="0"/>
        <v>0</v>
      </c>
      <c r="I10" s="28" t="s">
        <v>34</v>
      </c>
      <c r="J10" s="36">
        <f>(O1*J2*(D10+G10))+(E10*J2)+H10+B10/12</f>
        <v>225.22500000000002</v>
      </c>
      <c r="K10" s="35">
        <f>O1-(J10/J2)</f>
        <v>208.565</v>
      </c>
      <c r="L10" s="26">
        <f>(O1*L2*(D10+G10))+(E10*L2)+H10+B10/12</f>
        <v>424.71000000000004</v>
      </c>
      <c r="M10" s="26">
        <f>O1-(L10/L2)</f>
        <v>208.565</v>
      </c>
      <c r="N10" s="27">
        <f>(O1*N2*(D10+G10))+(E10*N2)+H10+B10/12</f>
        <v>611.32500000000005</v>
      </c>
      <c r="O10" s="21">
        <f>O1-(N10/N2)</f>
        <v>208.565</v>
      </c>
      <c r="P10" s="29"/>
      <c r="Q10" s="26"/>
      <c r="R10" s="43"/>
    </row>
    <row r="11" spans="1:18" ht="15" customHeight="1" thickBot="1">
      <c r="A11" s="28" t="s">
        <v>40</v>
      </c>
      <c r="B11" s="86">
        <v>0</v>
      </c>
      <c r="C11" s="29">
        <f>172.5/12</f>
        <v>14.375</v>
      </c>
      <c r="D11" s="30">
        <v>0</v>
      </c>
      <c r="E11" s="29">
        <v>0.35</v>
      </c>
      <c r="F11" s="29">
        <f>B17</f>
        <v>15</v>
      </c>
      <c r="G11" s="64">
        <f>B16</f>
        <v>1.95E-2</v>
      </c>
      <c r="H11" s="29">
        <f t="shared" si="0"/>
        <v>29.375</v>
      </c>
      <c r="I11" s="28" t="s">
        <v>37</v>
      </c>
      <c r="J11" s="36">
        <f>(O1*J2*(D11+G11))+H11+B11/12</f>
        <v>176.11250000000001</v>
      </c>
      <c r="K11" s="119">
        <f>O1-(J11/J2)</f>
        <v>209.96821428571428</v>
      </c>
      <c r="L11" s="26">
        <f>(O1*L2*(D11+G11))+H11+B11/12</f>
        <v>306.08</v>
      </c>
      <c r="M11" s="118">
        <f>O1-(L11/L2)</f>
        <v>210.36242424242425</v>
      </c>
      <c r="N11" s="27">
        <f>(O1*N2*(D11+G11))+(E11*(N2-66))+H11+B11/12</f>
        <v>437.8125</v>
      </c>
      <c r="O11" s="21">
        <f>O1-(N11/N2)</f>
        <v>210.39144736842104</v>
      </c>
      <c r="P11" s="88"/>
      <c r="Q11" s="26"/>
      <c r="R11" s="43"/>
    </row>
    <row r="12" spans="1:18" ht="15" customHeight="1" thickBot="1">
      <c r="A12" s="28" t="s">
        <v>41</v>
      </c>
      <c r="B12" s="86">
        <v>0</v>
      </c>
      <c r="C12" s="29">
        <v>25</v>
      </c>
      <c r="D12" s="30">
        <v>0</v>
      </c>
      <c r="E12" s="29">
        <v>0</v>
      </c>
      <c r="F12" s="29">
        <f>B17</f>
        <v>15</v>
      </c>
      <c r="G12" s="64">
        <f>B16</f>
        <v>1.95E-2</v>
      </c>
      <c r="H12" s="29">
        <f t="shared" si="0"/>
        <v>40</v>
      </c>
      <c r="I12" s="28" t="s">
        <v>22</v>
      </c>
      <c r="J12" s="36">
        <f>(O1*J2*(D12+G12))+(E12*J2)+H12+B12/12</f>
        <v>186.73750000000001</v>
      </c>
      <c r="K12" s="35">
        <f>O1-(J12/J2)</f>
        <v>209.66464285714287</v>
      </c>
      <c r="L12" s="26">
        <f>(O1*L2*(D12+G12))+(E12*L2)+H12+B12/12</f>
        <v>316.70499999999998</v>
      </c>
      <c r="M12" s="26">
        <f>O1-(L12/L2)</f>
        <v>210.20143939393938</v>
      </c>
      <c r="N12" s="27">
        <f>(O1*N2*(D12+G12))+(E12*N2)+H12+B12/12</f>
        <v>438.28750000000002</v>
      </c>
      <c r="O12" s="21">
        <f>O1-(N12/N2)</f>
        <v>210.38644736842105</v>
      </c>
      <c r="P12" s="88"/>
      <c r="Q12" s="26"/>
      <c r="R12" s="43"/>
    </row>
    <row r="13" spans="1:18" ht="15.75" thickBot="1">
      <c r="A13" s="55"/>
      <c r="B13" s="56"/>
      <c r="C13" s="49"/>
      <c r="D13" s="57"/>
      <c r="E13" s="49"/>
      <c r="F13" s="49"/>
      <c r="G13" s="65"/>
      <c r="H13" s="49"/>
      <c r="I13" s="55"/>
      <c r="J13" s="58"/>
      <c r="K13" s="54"/>
      <c r="L13" s="56"/>
      <c r="M13" s="56"/>
      <c r="N13" s="44"/>
      <c r="O13" s="45"/>
      <c r="P13" s="49"/>
      <c r="Q13" s="26"/>
      <c r="R13" s="43"/>
    </row>
    <row r="14" spans="1:18">
      <c r="P14" s="43"/>
      <c r="Q14" s="43"/>
      <c r="R14" s="43"/>
    </row>
    <row r="15" spans="1:18" ht="15.75" thickBot="1"/>
    <row r="16" spans="1:18" ht="15.75" thickBot="1">
      <c r="A16" s="22" t="s">
        <v>15</v>
      </c>
      <c r="B16" s="23">
        <v>1.95E-2</v>
      </c>
      <c r="J16" s="97"/>
      <c r="K16" s="97"/>
      <c r="L16" s="97"/>
      <c r="M16" s="97"/>
      <c r="N16" s="97"/>
      <c r="O16" s="97"/>
    </row>
    <row r="17" spans="1:2" ht="15.75" thickBot="1">
      <c r="A17" s="69" t="s">
        <v>32</v>
      </c>
      <c r="B17" s="68">
        <v>15</v>
      </c>
    </row>
    <row r="18" spans="1:2" ht="15.75" thickBot="1">
      <c r="A18" s="89" t="s">
        <v>36</v>
      </c>
      <c r="B18" s="89">
        <v>215</v>
      </c>
    </row>
    <row r="19" spans="1:2">
      <c r="A19" s="43"/>
    </row>
  </sheetData>
  <mergeCells count="13">
    <mergeCell ref="J1:N1"/>
    <mergeCell ref="J2:K2"/>
    <mergeCell ref="L2:M2"/>
    <mergeCell ref="N2:O2"/>
    <mergeCell ref="J16:K16"/>
    <mergeCell ref="L16:M16"/>
    <mergeCell ref="N16:O16"/>
    <mergeCell ref="I1:I2"/>
    <mergeCell ref="A1:A2"/>
    <mergeCell ref="B1:B2"/>
    <mergeCell ref="C1:E1"/>
    <mergeCell ref="F1:G1"/>
    <mergeCell ref="H1:H2"/>
  </mergeCells>
  <pageMargins left="0.7" right="0.7" top="0.75" bottom="0.75" header="0.3" footer="0.3"/>
  <pageSetup paperSize="9" orientation="landscape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 Year</vt:lpstr>
      <vt:lpstr>Yearly</vt:lpstr>
      <vt:lpstr>Sheet2</vt:lpstr>
      <vt:lpstr>Sheet3</vt:lpstr>
    </vt:vector>
  </TitlesOfParts>
  <Company>TelesisEagle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Brook</dc:creator>
  <cp:lastModifiedBy>Malcolm Brook</cp:lastModifiedBy>
  <dcterms:created xsi:type="dcterms:W3CDTF">2008-04-17T08:53:53Z</dcterms:created>
  <dcterms:modified xsi:type="dcterms:W3CDTF">2015-07-02T13:18:56Z</dcterms:modified>
</cp:coreProperties>
</file>